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Année complète" sheetId="1" r:id="rId1"/>
    <sheet name="Année incomplète" sheetId="2" r:id="rId2"/>
  </sheets>
  <definedNames>
    <definedName name="_xlnm.Print_Area" localSheetId="1">'Année incomplète'!$A$1:$R$72</definedName>
  </definedNames>
  <calcPr fullCalcOnLoad="1"/>
</workbook>
</file>

<file path=xl/comments1.xml><?xml version="1.0" encoding="utf-8"?>
<comments xmlns="http://schemas.openxmlformats.org/spreadsheetml/2006/main">
  <authors>
    <author>david</author>
    <author>Florence</author>
  </authors>
  <commentList>
    <comment ref="F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Nombre de jours travaillés par semaine</t>
        </r>
      </text>
    </comment>
    <comment ref="F12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Nombre d'heures par jour</t>
        </r>
      </text>
    </comment>
    <comment ref="F13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Taux horaire brut</t>
        </r>
      </text>
    </comment>
    <comment ref="A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0,25 pour une semaine travaillé dans le mois
Mettre 0,50 pour 2 semaines
Mettre 0,75 pour 3 semaines
Mettre 1 pour 1 mois</t>
        </r>
      </text>
    </comment>
    <comment ref="B2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</t>
        </r>
      </text>
    </comment>
    <comment ref="C2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</t>
        </r>
      </text>
    </comment>
    <comment ref="D2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</t>
        </r>
      </text>
    </comment>
    <comment ref="E2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</t>
        </r>
      </text>
    </comment>
    <comment ref="F2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</t>
        </r>
      </text>
    </comment>
    <comment ref="G2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</t>
        </r>
      </text>
    </comment>
    <comment ref="H2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</t>
        </r>
      </text>
    </comment>
    <comment ref="I2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</t>
        </r>
      </text>
    </comment>
    <comment ref="J2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</t>
        </r>
      </text>
    </comment>
    <comment ref="K2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</t>
        </r>
      </text>
    </comment>
    <comment ref="L2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</t>
        </r>
      </text>
    </comment>
    <comment ref="M25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</t>
        </r>
      </text>
    </comment>
    <comment ref="F18" authorId="0">
      <text>
        <r>
          <rPr>
            <b/>
            <sz val="8"/>
            <rFont val="Tahoma"/>
            <family val="2"/>
          </rPr>
          <t>david:
En Jours ouvrables</t>
        </r>
      </text>
    </comment>
    <comment ref="F17" authorId="1">
      <text>
        <r>
          <rPr>
            <b/>
            <sz val="9"/>
            <rFont val="Tahoma"/>
            <family val="2"/>
          </rPr>
          <t>Florence:</t>
        </r>
        <r>
          <rPr>
            <sz val="9"/>
            <rFont val="Tahoma"/>
            <family val="2"/>
          </rPr>
          <t xml:space="preserve">
les jours de fractionnement ne se calculent qu'au 31 octobre sur les congés restants à prendre et sur 24 j ouvrables max sans les j enfants, ne peuvent se faire payer que si le contrat s'arrête entre le 01/11 et le 30/04 sinon uniquement pris en temps </t>
        </r>
      </text>
    </comment>
  </commentList>
</comments>
</file>

<file path=xl/comments2.xml><?xml version="1.0" encoding="utf-8"?>
<comments xmlns="http://schemas.openxmlformats.org/spreadsheetml/2006/main">
  <authors>
    <author>david</author>
    <author>s</author>
    <author>dp</author>
    <author>Florence</author>
  </authors>
  <commentList>
    <comment ref="A8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Nombre semaines travaillée du mois</t>
        </r>
      </text>
    </comment>
    <comment ref="F11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Nombre de jours travaillés par semaine</t>
        </r>
      </text>
    </comment>
    <comment ref="F12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Nombre d'heures par jour</t>
        </r>
      </text>
    </comment>
    <comment ref="F13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Taux horaire brut</t>
        </r>
      </text>
    </comment>
    <comment ref="O12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Jours ouvrés habituellement travaillés</t>
        </r>
      </text>
    </comment>
    <comment ref="F19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Ecrire le nombre de mois travaillés pour déterminer la limite des congés maxi.</t>
        </r>
      </text>
    </comment>
    <comment ref="B2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 hors congés payés</t>
        </r>
      </text>
    </comment>
    <comment ref="F10" authorId="1">
      <text>
        <r>
          <rPr>
            <b/>
            <sz val="8"/>
            <rFont val="Tahoma"/>
            <family val="2"/>
          </rPr>
          <t>Nombre de semaine de CP acquis l'année précédente PRIS</t>
        </r>
      </text>
    </comment>
    <comment ref="A26" authorId="2">
      <text>
        <r>
          <rPr>
            <b/>
            <sz val="8"/>
            <rFont val="Tahoma"/>
            <family val="2"/>
          </rPr>
          <t>Congés acquis l'année précédente pris en jours ouvrables.</t>
        </r>
      </text>
    </comment>
    <comment ref="C2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 hors congés payés</t>
        </r>
      </text>
    </comment>
    <comment ref="D2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 hors congés payés</t>
        </r>
      </text>
    </comment>
    <comment ref="E2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 hors congés payés</t>
        </r>
      </text>
    </comment>
    <comment ref="F2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 hors congés payés</t>
        </r>
      </text>
    </comment>
    <comment ref="G2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 hors congés payés</t>
        </r>
      </text>
    </comment>
    <comment ref="H2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 hors congés payés</t>
        </r>
      </text>
    </comment>
    <comment ref="I2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 hors congés payés</t>
        </r>
      </text>
    </comment>
    <comment ref="J2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 hors congés payés</t>
        </r>
      </text>
    </comment>
    <comment ref="K2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 hors congés payés</t>
        </r>
      </text>
    </comment>
    <comment ref="L2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 hors congés payés</t>
        </r>
      </text>
    </comment>
    <comment ref="M24" authorId="0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Mettre salaire  brut du mois hors congés payés</t>
        </r>
      </text>
    </comment>
    <comment ref="F17" authorId="3">
      <text>
        <r>
          <rPr>
            <b/>
            <sz val="9"/>
            <rFont val="Tahoma"/>
            <family val="2"/>
          </rPr>
          <t>Florence:</t>
        </r>
        <r>
          <rPr>
            <sz val="9"/>
            <rFont val="Tahoma"/>
            <family val="2"/>
          </rPr>
          <t xml:space="preserve">
les jours de fractionnement ne se calculent qu'au 31 octobre sur les congés restants à prendre et sur 24 j ouvrables max sans les j enfants, ne peuvent se faire payer que si le contrat s'arrête entre le 01/11 et le 30/04 sinon uniquement pris en temps </t>
        </r>
      </text>
    </comment>
  </commentList>
</comments>
</file>

<file path=xl/sharedStrings.xml><?xml version="1.0" encoding="utf-8"?>
<sst xmlns="http://schemas.openxmlformats.org/spreadsheetml/2006/main" count="201" uniqueCount="96">
  <si>
    <t>Mois</t>
  </si>
  <si>
    <t>Année Complète</t>
  </si>
  <si>
    <t>Nbre jours de congés payés</t>
  </si>
  <si>
    <t>Année Incomplète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</si>
  <si>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</si>
  <si>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</si>
  <si>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</si>
  <si>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</si>
  <si>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</si>
  <si>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</si>
  <si>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</si>
  <si>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</si>
  <si>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</si>
  <si>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</si>
  <si>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</si>
  <si>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</si>
  <si>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Année Complète, CP en maintien de salaire</t>
  </si>
  <si>
    <t>Année Incomplète, CP en maintien de salaire</t>
  </si>
  <si>
    <t>CP 10 %</t>
  </si>
  <si>
    <t>Nombre de mois travaillés</t>
  </si>
  <si>
    <t>Nombre jours travaillés par semaine :</t>
  </si>
  <si>
    <t>Taux horaire brut :</t>
  </si>
  <si>
    <t>MAINTIEN SALAIRE Année complète</t>
  </si>
  <si>
    <t>Sal brut du mois</t>
  </si>
  <si>
    <t>METHODE 10%  Année complète</t>
  </si>
  <si>
    <t>Jours ouvrés habituellement travaillés :</t>
  </si>
  <si>
    <t>MAINTIEN SALAIRE Année incomplète</t>
  </si>
  <si>
    <t>Congés acquis pris :</t>
  </si>
  <si>
    <t>ATTENTION LES CASES DES 2 METHODES DE CALCUL DOIVENT ETRE REMPLIES</t>
  </si>
  <si>
    <t>METHODE 10%  Année incomplète</t>
  </si>
  <si>
    <t>FICHE EXPLICATIVE POUR LES PARENTS</t>
  </si>
  <si>
    <t>jours</t>
  </si>
  <si>
    <t>X 2,5 =</t>
  </si>
  <si>
    <t>/4=</t>
  </si>
  <si>
    <t>2,5 X</t>
  </si>
  <si>
    <t>=</t>
  </si>
  <si>
    <t>Le nombre de semaines travaillées  pour l'année de référence + les semaines de congés de l'année précédente est de :</t>
  </si>
  <si>
    <t>+</t>
  </si>
  <si>
    <t>jours ouvrables</t>
  </si>
  <si>
    <t>On transforme ce nombre de jours ouvrables en jours ouvrés (la formule est : nombre jrs ouvrables X nombre jrs travaillés dans la semaine / par 6)</t>
  </si>
  <si>
    <t>X</t>
  </si>
  <si>
    <t>/     6 =</t>
  </si>
  <si>
    <t>jours ouvrés</t>
  </si>
  <si>
    <t>Le salarié travaille</t>
  </si>
  <si>
    <t xml:space="preserve">jours par semaine et </t>
  </si>
  <si>
    <t>heures par semaine</t>
  </si>
  <si>
    <t>nombre jours ouvrés X nombre d'heure par jour X taux horaire brut</t>
  </si>
  <si>
    <t>euros</t>
  </si>
  <si>
    <t>-</t>
  </si>
  <si>
    <t>Soit un maintien de salaire de :</t>
  </si>
  <si>
    <t>Le total des salaires est de :</t>
  </si>
  <si>
    <t>10   /    100   =</t>
  </si>
  <si>
    <t>soit :</t>
  </si>
  <si>
    <t>donne :</t>
  </si>
  <si>
    <t>On enlève éventuellement les congés acquis pris :</t>
  </si>
  <si>
    <t xml:space="preserve">Le nombre de jours ouvrables acquis est de </t>
  </si>
  <si>
    <t>jours avant déduction des congés pris</t>
  </si>
  <si>
    <t xml:space="preserve">soit en jours ouvrés (la formule est : nombre jrs ouvrables X nombre jrs travaillés dans la semaine / par 6): </t>
  </si>
  <si>
    <t xml:space="preserve"> /   6 =</t>
  </si>
  <si>
    <t>S'il n'y a pas de congés pris le maintien de salaire est de :</t>
  </si>
  <si>
    <t xml:space="preserve">Donc pour les </t>
  </si>
  <si>
    <t xml:space="preserve"> /</t>
  </si>
  <si>
    <t>Le calcul de l'indemnité avec les 10% est :</t>
  </si>
  <si>
    <t xml:space="preserve">          A cette somme on enlève les congés déjà acquis pris soit : </t>
  </si>
  <si>
    <t>On calcule ensuite le nombre de jours acquis :</t>
  </si>
  <si>
    <t>On calcule 10% de la somme :</t>
  </si>
  <si>
    <t>On calcule d'abord le nombre de jours ouvrables acquis (nombre de mois travaillés X 2,5)</t>
  </si>
  <si>
    <t>nombre jours ouvrés X nombre d'heures par jour X taux horaire brut</t>
  </si>
  <si>
    <t>On calcule ensuite les salaires perçus si le salarié avait travaillé ces jours ouvrés</t>
  </si>
  <si>
    <t>Comparatif du montant des congés payés et calcul de l'indemnité compensatrice de congés payés</t>
  </si>
  <si>
    <t>Nbre de sem de CP acquis l'année précéd PRIS :</t>
  </si>
  <si>
    <t>congés acquis pris</t>
  </si>
  <si>
    <t>Valeur jour ouvrable année précédente</t>
  </si>
  <si>
    <t>Valeur jour ouvrables :</t>
  </si>
  <si>
    <t xml:space="preserve">On ajoute à cette somme la valeur des congés pris, soit : </t>
  </si>
  <si>
    <t>Soit un total avec la règle du 10è de :</t>
  </si>
  <si>
    <t>ANNEE :</t>
  </si>
  <si>
    <t>(maintien salaire sans congés pris X nombre congés pris ouvrés / nombre jours ouvrés acquis avant déduction congés pris)</t>
  </si>
  <si>
    <t>Jrs supp ( -15 ans)</t>
  </si>
  <si>
    <t>Jrs supp (fractionnement)</t>
  </si>
  <si>
    <t>On ajoute éventuellement les jours supplémentaires enfants -15 ans :</t>
  </si>
  <si>
    <t>sans dépasser 30 jours  maxi par an</t>
  </si>
  <si>
    <t>On ajoute éventuellement les jours supplémentaires de fractionnement :</t>
  </si>
  <si>
    <t>Nombre de jours de congés ouvrables :</t>
  </si>
  <si>
    <t>Entre les deux méthodes on retient celle qui est la plus avantageuse pour le salarié.</t>
  </si>
  <si>
    <t>Soit un montant de congés payés de :</t>
  </si>
  <si>
    <t>NOM :</t>
  </si>
  <si>
    <t>Comparatif du montant des congés payés et du temps validé et calcul de l'indemnité compensatrice de congés payés</t>
  </si>
  <si>
    <t>Nombre d'heures par jour :</t>
  </si>
  <si>
    <t>arrondi au nombre supérieur</t>
  </si>
  <si>
    <t>Pour la règle du 10è, on prend 10% du cumul des salaires brut</t>
  </si>
  <si>
    <t>jours pris le maintien de salaires était de :</t>
  </si>
  <si>
    <t>Le salarié acquiert 2,5 jours pour 4 semaines travaillées soit dans le cas présent :</t>
  </si>
  <si>
    <t>On calcule d'abord le nombre de périodes de 4 semaines  :</t>
  </si>
  <si>
    <t>Mais le nombre de jours acquis ne doit pas dépasser le nombre de mois travaillés  X 2,5 soit :</t>
  </si>
  <si>
    <t xml:space="preserve">heures par jour soit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</si>
</sst>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Vrai&quot;;&quot;Vrai&quot;;&quot;Faux&quot;"/>
    <numFmt numFmtId="170" formatCode="&quot;Actif&quot;;&quot;Actif&quot;;&quot;Inactif&quot;"/>
    <numFmt numFmtId="171" formatCode="#,##0.00\ &quot;€&quot;"/>
    <numFmt numFmtId="172" formatCode="#,##0.00_ ;\-#,##0.00\ "/>
    <numFmt numFmtId="173" formatCode="_-* #,##0.000\ _€_-;\-* #,##0.000\ _€_-;_-* &quot;-&quot;??\ _€_-;_-@_-"/>
    <numFmt numFmtId="174" formatCode="0.0000"/>
    <numFmt numFmtId="175" formatCode="0.000"/>
  </numFmts>
  <fonts count="4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2" fontId="0" fillId="33" borderId="10" xfId="0" applyNumberFormat="1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3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171" fontId="4" fillId="34" borderId="12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 quotePrefix="1">
      <alignment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 quotePrefix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Border="1" applyAlignment="1" applyProtection="1" quotePrefix="1">
      <alignment horizontal="center"/>
      <protection/>
    </xf>
    <xf numFmtId="171" fontId="0" fillId="0" borderId="0" xfId="0" applyNumberForma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4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Alignment="1" applyProtection="1" quotePrefix="1">
      <alignment horizontal="center"/>
      <protection/>
    </xf>
    <xf numFmtId="2" fontId="0" fillId="0" borderId="0" xfId="45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1" fontId="0" fillId="0" borderId="0" xfId="43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8" xfId="0" applyBorder="1" applyAlignment="1" applyProtection="1">
      <alignment horizontal="right"/>
      <protection/>
    </xf>
    <xf numFmtId="0" fontId="0" fillId="33" borderId="17" xfId="0" applyFill="1" applyBorder="1" applyAlignment="1" applyProtection="1">
      <alignment/>
      <protection locked="0"/>
    </xf>
    <xf numFmtId="0" fontId="0" fillId="33" borderId="10" xfId="0" applyFill="1" applyBorder="1" applyAlignment="1" applyProtection="1" quotePrefix="1">
      <alignment/>
      <protection locked="0"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2" fontId="0" fillId="0" borderId="15" xfId="0" applyNumberFormat="1" applyFont="1" applyBorder="1" applyAlignment="1" applyProtection="1">
      <alignment/>
      <protection/>
    </xf>
    <xf numFmtId="0" fontId="0" fillId="0" borderId="16" xfId="0" applyBorder="1" applyAlignment="1" applyProtection="1" quotePrefix="1">
      <alignment horizontal="center"/>
      <protection/>
    </xf>
    <xf numFmtId="2" fontId="0" fillId="0" borderId="16" xfId="0" applyNumberFormat="1" applyBorder="1" applyAlignment="1" applyProtection="1">
      <alignment horizontal="center"/>
      <protection/>
    </xf>
    <xf numFmtId="2" fontId="0" fillId="0" borderId="17" xfId="0" applyNumberFormat="1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 horizontal="right"/>
      <protection/>
    </xf>
    <xf numFmtId="2" fontId="0" fillId="33" borderId="10" xfId="0" applyNumberFormat="1" applyFont="1" applyFill="1" applyBorder="1" applyAlignment="1" applyProtection="1">
      <alignment horizontal="right"/>
      <protection locked="0"/>
    </xf>
    <xf numFmtId="44" fontId="3" fillId="0" borderId="0" xfId="47" applyFont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44" fontId="3" fillId="0" borderId="13" xfId="47" applyFont="1" applyBorder="1" applyAlignment="1" applyProtection="1">
      <alignment horizontal="center"/>
      <protection/>
    </xf>
    <xf numFmtId="44" fontId="3" fillId="0" borderId="18" xfId="47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71" fontId="3" fillId="0" borderId="0" xfId="0" applyNumberFormat="1" applyFont="1" applyAlignment="1" applyProtection="1">
      <alignment horizontal="center"/>
      <protection/>
    </xf>
    <xf numFmtId="171" fontId="3" fillId="0" borderId="0" xfId="0" applyNumberFormat="1" applyFont="1" applyBorder="1" applyAlignment="1" applyProtection="1">
      <alignment horizontal="left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14.28125" style="2" customWidth="1"/>
    <col min="2" max="2" width="8.8515625" style="2" customWidth="1"/>
    <col min="3" max="3" width="8.421875" style="2" customWidth="1"/>
    <col min="4" max="4" width="8.28125" style="2" customWidth="1"/>
    <col min="5" max="5" width="8.7109375" style="2" customWidth="1"/>
    <col min="6" max="6" width="10.00390625" style="2" customWidth="1"/>
    <col min="7" max="7" width="10.140625" style="2" customWidth="1"/>
    <col min="8" max="8" width="9.7109375" style="2" customWidth="1"/>
    <col min="9" max="9" width="9.8515625" style="2" customWidth="1"/>
    <col min="10" max="10" width="12.00390625" style="2" customWidth="1"/>
    <col min="11" max="11" width="10.140625" style="2" customWidth="1"/>
    <col min="12" max="12" width="10.57421875" style="2" customWidth="1"/>
    <col min="13" max="13" width="17.421875" style="2" bestFit="1" customWidth="1"/>
    <col min="14" max="14" width="3.00390625" style="2" hidden="1" customWidth="1"/>
    <col min="15" max="15" width="13.28125" style="2" bestFit="1" customWidth="1"/>
    <col min="16" max="16384" width="9.140625" style="2" customWidth="1"/>
  </cols>
  <sheetData>
    <row r="1" spans="5:13" ht="12.75">
      <c r="E1" s="81" t="s">
        <v>76</v>
      </c>
      <c r="F1" s="102">
        <v>2019</v>
      </c>
      <c r="G1" s="102"/>
      <c r="H1" s="82"/>
      <c r="I1" s="79" t="s">
        <v>86</v>
      </c>
      <c r="J1" s="103"/>
      <c r="K1" s="104"/>
      <c r="L1" s="104"/>
      <c r="M1" s="104"/>
    </row>
    <row r="2" ht="12.75"/>
    <row r="3" spans="2:16" ht="15.75">
      <c r="B3" s="107" t="s">
        <v>87</v>
      </c>
      <c r="C3" s="107"/>
      <c r="D3" s="107"/>
      <c r="E3" s="107"/>
      <c r="F3" s="107"/>
      <c r="G3" s="107"/>
      <c r="H3" s="107"/>
      <c r="I3" s="107"/>
      <c r="J3" s="107"/>
      <c r="K3" s="9"/>
      <c r="L3" s="9"/>
      <c r="M3" s="9"/>
      <c r="N3" s="9"/>
      <c r="O3" s="9"/>
      <c r="P3" s="9"/>
    </row>
    <row r="4" spans="2:10" ht="12.75">
      <c r="B4" s="107"/>
      <c r="C4" s="107"/>
      <c r="D4" s="107"/>
      <c r="E4" s="107"/>
      <c r="F4" s="107"/>
      <c r="G4" s="107"/>
      <c r="H4" s="107"/>
      <c r="I4" s="107"/>
      <c r="J4" s="107"/>
    </row>
    <row r="5" ht="12.75"/>
    <row r="6" spans="1:13" s="10" customFormat="1" ht="27.75" customHeight="1">
      <c r="A6" s="108" t="s">
        <v>22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ht="19.5" customHeight="1">
      <c r="A7" s="18" t="s">
        <v>0</v>
      </c>
      <c r="B7" s="19" t="s">
        <v>4</v>
      </c>
      <c r="C7" s="19" t="s">
        <v>5</v>
      </c>
      <c r="D7" s="19" t="s">
        <v>6</v>
      </c>
      <c r="E7" s="19" t="s">
        <v>7</v>
      </c>
      <c r="F7" s="19" t="s">
        <v>8</v>
      </c>
      <c r="G7" s="19" t="s">
        <v>9</v>
      </c>
      <c r="H7" s="19" t="s">
        <v>10</v>
      </c>
      <c r="I7" s="19" t="s">
        <v>11</v>
      </c>
      <c r="J7" s="19" t="s">
        <v>12</v>
      </c>
      <c r="K7" s="19" t="s">
        <v>13</v>
      </c>
      <c r="L7" s="19" t="s">
        <v>14</v>
      </c>
      <c r="M7" s="19" t="s">
        <v>15</v>
      </c>
    </row>
    <row r="8" spans="1:13" ht="25.5">
      <c r="A8" s="18" t="s">
        <v>1</v>
      </c>
      <c r="B8" s="97">
        <v>0</v>
      </c>
      <c r="C8" s="97">
        <v>0</v>
      </c>
      <c r="D8" s="97">
        <v>0</v>
      </c>
      <c r="E8" s="97">
        <v>1</v>
      </c>
      <c r="F8" s="97">
        <v>1</v>
      </c>
      <c r="G8" s="97">
        <v>1</v>
      </c>
      <c r="H8" s="97">
        <v>1</v>
      </c>
      <c r="I8" s="97">
        <v>1</v>
      </c>
      <c r="J8" s="97">
        <v>0.37</v>
      </c>
      <c r="K8" s="97">
        <v>0</v>
      </c>
      <c r="L8" s="97">
        <v>0</v>
      </c>
      <c r="M8" s="97">
        <v>0</v>
      </c>
    </row>
    <row r="9" spans="1:15" ht="25.5">
      <c r="A9" s="18" t="s">
        <v>2</v>
      </c>
      <c r="B9" s="98">
        <f>IF(B8&lt;1,B8*2.5,2.5)</f>
        <v>0</v>
      </c>
      <c r="C9" s="98">
        <f aca="true" t="shared" si="0" ref="C9:M9">IF(C8&lt;1,C8*2.5,2.5)</f>
        <v>0</v>
      </c>
      <c r="D9" s="98">
        <f t="shared" si="0"/>
        <v>0</v>
      </c>
      <c r="E9" s="98">
        <f t="shared" si="0"/>
        <v>2.5</v>
      </c>
      <c r="F9" s="98">
        <f t="shared" si="0"/>
        <v>2.5</v>
      </c>
      <c r="G9" s="98">
        <f t="shared" si="0"/>
        <v>2.5</v>
      </c>
      <c r="H9" s="98">
        <f t="shared" si="0"/>
        <v>2.5</v>
      </c>
      <c r="I9" s="98">
        <f t="shared" si="0"/>
        <v>2.5</v>
      </c>
      <c r="J9" s="98">
        <f t="shared" si="0"/>
        <v>0.925</v>
      </c>
      <c r="K9" s="98">
        <f t="shared" si="0"/>
        <v>0</v>
      </c>
      <c r="L9" s="98">
        <f t="shared" si="0"/>
        <v>0</v>
      </c>
      <c r="M9" s="98">
        <f t="shared" si="0"/>
        <v>0</v>
      </c>
      <c r="N9" s="24">
        <f>IF(ROUNDUP(SUM(B9:M9)+F16,0)&lt;=30,ROUNDUP(SUM(B9:M9)+F16+F17,0),30+F17)</f>
        <v>16</v>
      </c>
      <c r="O9" s="25" t="str">
        <f>N9&amp;" jrs"</f>
        <v>16 jrs</v>
      </c>
    </row>
    <row r="10" ht="12.75">
      <c r="O10" s="11"/>
    </row>
    <row r="11" spans="5:16" ht="12.75">
      <c r="E11" s="15" t="s">
        <v>20</v>
      </c>
      <c r="F11" s="7">
        <v>5</v>
      </c>
      <c r="K11" s="11"/>
      <c r="L11" s="11"/>
      <c r="M11" s="66"/>
      <c r="N11" s="83">
        <f>+N9-F18</f>
        <v>14</v>
      </c>
      <c r="O11" s="36" t="str">
        <f>N11&amp;" jrs"</f>
        <v>14 jrs</v>
      </c>
      <c r="P11" s="11"/>
    </row>
    <row r="12" spans="5:16" ht="12.75">
      <c r="E12" s="15" t="s">
        <v>88</v>
      </c>
      <c r="F12" s="7">
        <v>9.6</v>
      </c>
      <c r="K12" s="69"/>
      <c r="L12" s="73"/>
      <c r="M12" s="67"/>
      <c r="N12" s="84">
        <f>+N9-N11</f>
        <v>2</v>
      </c>
      <c r="O12" s="36" t="str">
        <f>N12&amp;" jrs"</f>
        <v>2 jrs</v>
      </c>
      <c r="P12" s="69"/>
    </row>
    <row r="13" spans="5:16" ht="12.75">
      <c r="E13" s="15" t="s">
        <v>21</v>
      </c>
      <c r="F13" s="7">
        <v>4.74</v>
      </c>
      <c r="K13" s="69"/>
      <c r="L13" s="73"/>
      <c r="M13" s="67">
        <f>ROUNDUP((N9*F11/6),0)</f>
        <v>14</v>
      </c>
      <c r="N13" s="83">
        <f>ROUNDUP((F11*N11/6),0)</f>
        <v>12</v>
      </c>
      <c r="O13" s="36" t="str">
        <f>N13&amp;" jrs"</f>
        <v>12 jrs</v>
      </c>
      <c r="P13" s="69"/>
    </row>
    <row r="14" spans="2:16" ht="12.75">
      <c r="B14" s="71"/>
      <c r="C14" s="71"/>
      <c r="D14" s="71"/>
      <c r="E14" s="16"/>
      <c r="F14" s="72"/>
      <c r="K14" s="69"/>
      <c r="L14" s="73"/>
      <c r="M14" s="67">
        <f>M13*F12</f>
        <v>134.4</v>
      </c>
      <c r="N14" s="83">
        <f>+N13*F12</f>
        <v>115.19999999999999</v>
      </c>
      <c r="O14" s="36" t="str">
        <f>N14&amp;" hrs"</f>
        <v>115,2 hrs</v>
      </c>
      <c r="P14" s="69"/>
    </row>
    <row r="15" spans="11:16" ht="12.75">
      <c r="K15" s="69"/>
      <c r="L15" s="73"/>
      <c r="M15" s="67">
        <f>M14*F13</f>
        <v>637.056</v>
      </c>
      <c r="N15" s="83">
        <f>N14*F13</f>
        <v>546.048</v>
      </c>
      <c r="O15" s="37">
        <f>N15</f>
        <v>546.048</v>
      </c>
      <c r="P15" s="69"/>
    </row>
    <row r="16" spans="2:16" ht="12.75">
      <c r="B16" s="20"/>
      <c r="C16" s="5"/>
      <c r="D16" s="5"/>
      <c r="E16" s="8" t="s">
        <v>78</v>
      </c>
      <c r="F16" s="21">
        <v>2</v>
      </c>
      <c r="H16" s="20"/>
      <c r="K16" s="69"/>
      <c r="L16" s="73"/>
      <c r="M16" s="67"/>
      <c r="N16" s="83">
        <f>N9*F11/6</f>
        <v>13.333333333333334</v>
      </c>
      <c r="O16" s="37"/>
      <c r="P16" s="69"/>
    </row>
    <row r="17" spans="2:16" ht="12.75">
      <c r="B17" s="20"/>
      <c r="C17" s="5"/>
      <c r="D17" s="5"/>
      <c r="E17" s="8" t="s">
        <v>79</v>
      </c>
      <c r="F17" s="21"/>
      <c r="H17" s="20"/>
      <c r="K17" s="69"/>
      <c r="L17" s="73"/>
      <c r="M17" s="67"/>
      <c r="N17" s="83"/>
      <c r="O17" s="37"/>
      <c r="P17" s="69"/>
    </row>
    <row r="18" spans="5:16" ht="13.5" thickBot="1">
      <c r="E18" s="8" t="s">
        <v>27</v>
      </c>
      <c r="F18" s="21">
        <v>2</v>
      </c>
      <c r="K18" s="69"/>
      <c r="L18" s="69"/>
      <c r="M18" s="69"/>
      <c r="N18" s="69">
        <f>ROUNDUP(F18*F11/6,0)</f>
        <v>2</v>
      </c>
      <c r="O18" s="69"/>
      <c r="P18" s="69"/>
    </row>
    <row r="19" spans="3:15" ht="16.5" thickBot="1">
      <c r="C19" s="4"/>
      <c r="D19" s="5"/>
      <c r="E19" s="8"/>
      <c r="F19" s="8"/>
      <c r="H19" s="110" t="s">
        <v>16</v>
      </c>
      <c r="I19" s="111"/>
      <c r="J19" s="111"/>
      <c r="K19" s="111"/>
      <c r="L19" s="111"/>
      <c r="M19" s="112"/>
      <c r="O19" s="35">
        <f>O15</f>
        <v>546.048</v>
      </c>
    </row>
    <row r="20" spans="3:6" ht="12.75">
      <c r="C20" s="4"/>
      <c r="D20" s="5"/>
      <c r="E20" s="8"/>
      <c r="F20" s="8"/>
    </row>
    <row r="21" spans="3:6" ht="12.75">
      <c r="C21" s="4"/>
      <c r="D21" s="5"/>
      <c r="E21" s="8"/>
      <c r="F21" s="8"/>
    </row>
    <row r="22" spans="3:6" ht="6.75" customHeight="1">
      <c r="C22" s="4"/>
      <c r="D22" s="5"/>
      <c r="E22" s="8"/>
      <c r="F22" s="8"/>
    </row>
    <row r="23" spans="1:13" ht="18" customHeight="1">
      <c r="A23" s="108" t="s">
        <v>24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</row>
    <row r="24" spans="1:15" ht="12.75">
      <c r="A24" s="18" t="s">
        <v>0</v>
      </c>
      <c r="B24" s="19" t="s">
        <v>4</v>
      </c>
      <c r="C24" s="19" t="s">
        <v>5</v>
      </c>
      <c r="D24" s="19" t="s">
        <v>6</v>
      </c>
      <c r="E24" s="19" t="s">
        <v>7</v>
      </c>
      <c r="F24" s="19" t="s">
        <v>8</v>
      </c>
      <c r="G24" s="19" t="s">
        <v>9</v>
      </c>
      <c r="H24" s="19" t="s">
        <v>10</v>
      </c>
      <c r="I24" s="19" t="s">
        <v>11</v>
      </c>
      <c r="J24" s="19" t="s">
        <v>12</v>
      </c>
      <c r="K24" s="19" t="s">
        <v>13</v>
      </c>
      <c r="L24" s="19" t="s">
        <v>14</v>
      </c>
      <c r="M24" s="19" t="s">
        <v>15</v>
      </c>
      <c r="N24" s="20"/>
      <c r="O24" s="20"/>
    </row>
    <row r="25" spans="1:15" ht="12.75">
      <c r="A25" s="1" t="s">
        <v>23</v>
      </c>
      <c r="B25" s="97">
        <v>0</v>
      </c>
      <c r="C25" s="97">
        <v>0</v>
      </c>
      <c r="D25" s="97">
        <v>0</v>
      </c>
      <c r="E25" s="97">
        <v>985.16</v>
      </c>
      <c r="F25" s="97">
        <v>809.77</v>
      </c>
      <c r="G25" s="97">
        <v>985.16</v>
      </c>
      <c r="H25" s="97">
        <v>985.16</v>
      </c>
      <c r="I25" s="97">
        <v>986.55</v>
      </c>
      <c r="J25" s="97">
        <v>405.72</v>
      </c>
      <c r="K25" s="97">
        <v>0</v>
      </c>
      <c r="L25" s="97">
        <v>0</v>
      </c>
      <c r="M25" s="97">
        <v>627.12</v>
      </c>
      <c r="N25" s="23">
        <f>SUM(B25:M25)</f>
        <v>5784.639999999999</v>
      </c>
      <c r="O25" s="27">
        <f>+N25</f>
        <v>5784.639999999999</v>
      </c>
    </row>
    <row r="26" spans="1:15" ht="12.75">
      <c r="A26" s="20"/>
      <c r="B26" s="98">
        <f aca="true" t="shared" si="1" ref="B26:M26">B25*10%</f>
        <v>0</v>
      </c>
      <c r="C26" s="98">
        <f t="shared" si="1"/>
        <v>0</v>
      </c>
      <c r="D26" s="98">
        <f t="shared" si="1"/>
        <v>0</v>
      </c>
      <c r="E26" s="98">
        <f t="shared" si="1"/>
        <v>98.516</v>
      </c>
      <c r="F26" s="98">
        <f t="shared" si="1"/>
        <v>80.977</v>
      </c>
      <c r="G26" s="98">
        <f t="shared" si="1"/>
        <v>98.516</v>
      </c>
      <c r="H26" s="98">
        <f t="shared" si="1"/>
        <v>98.516</v>
      </c>
      <c r="I26" s="98">
        <f t="shared" si="1"/>
        <v>98.655</v>
      </c>
      <c r="J26" s="98">
        <f t="shared" si="1"/>
        <v>40.572</v>
      </c>
      <c r="K26" s="98">
        <f t="shared" si="1"/>
        <v>0</v>
      </c>
      <c r="L26" s="98">
        <f t="shared" si="1"/>
        <v>0</v>
      </c>
      <c r="M26" s="98">
        <f t="shared" si="1"/>
        <v>62.712</v>
      </c>
      <c r="N26" s="23">
        <f>IF(F18&gt;0,SUM(B26:M26)-((M15+M16)*N18/N16),SUM(B26:M26))</f>
        <v>482.90560000000005</v>
      </c>
      <c r="O26" s="28">
        <f>+N26</f>
        <v>482.90560000000005</v>
      </c>
    </row>
    <row r="27" spans="3:6" ht="12.75">
      <c r="C27" s="4"/>
      <c r="D27" s="5"/>
      <c r="F27" s="8"/>
    </row>
    <row r="28" spans="3:6" ht="13.5" thickBot="1">
      <c r="C28" s="4"/>
      <c r="D28" s="5"/>
      <c r="E28" s="8"/>
      <c r="F28" s="8"/>
    </row>
    <row r="29" spans="3:15" ht="16.5" thickBot="1">
      <c r="C29" s="4"/>
      <c r="D29" s="5"/>
      <c r="E29" s="8"/>
      <c r="F29" s="8"/>
      <c r="L29" s="110" t="s">
        <v>18</v>
      </c>
      <c r="M29" s="112"/>
      <c r="O29" s="35">
        <f>+O26</f>
        <v>482.90560000000005</v>
      </c>
    </row>
    <row r="30" spans="3:6" ht="12.75">
      <c r="C30" s="4"/>
      <c r="D30" s="5"/>
      <c r="E30" s="8"/>
      <c r="F30" s="8"/>
    </row>
    <row r="31" spans="1:6" ht="12.75">
      <c r="A31" s="2" t="s">
        <v>28</v>
      </c>
      <c r="C31" s="4"/>
      <c r="D31" s="5"/>
      <c r="E31" s="8"/>
      <c r="F31" s="8"/>
    </row>
    <row r="32" ht="12.75"/>
    <row r="33" ht="12.75"/>
    <row r="34" spans="1:15" ht="12.75">
      <c r="A34" s="109" t="s">
        <v>30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8:10" ht="12.75">
      <c r="H35" s="6"/>
      <c r="I35" s="12"/>
      <c r="J35" s="12"/>
    </row>
    <row r="36" spans="1:10" ht="12.75">
      <c r="A36" s="2" t="s">
        <v>66</v>
      </c>
      <c r="D36" s="5"/>
      <c r="E36" s="5"/>
      <c r="F36" s="8"/>
      <c r="G36" s="13"/>
      <c r="H36" s="6"/>
      <c r="I36" s="4"/>
      <c r="J36" s="5"/>
    </row>
    <row r="37" spans="5:10" ht="12.75">
      <c r="E37" s="2" t="s">
        <v>52</v>
      </c>
      <c r="F37" s="56">
        <f>SUM(B8:M8)</f>
        <v>5.37</v>
      </c>
      <c r="G37" s="47" t="s">
        <v>40</v>
      </c>
      <c r="H37" s="57">
        <v>2.5</v>
      </c>
      <c r="I37" s="58" t="s">
        <v>35</v>
      </c>
      <c r="J37" s="8">
        <f>F37*H37</f>
        <v>13.425</v>
      </c>
    </row>
    <row r="38" spans="1:13" ht="12.75">
      <c r="A38" s="2" t="s">
        <v>80</v>
      </c>
      <c r="H38" s="2">
        <f>J37</f>
        <v>13.425</v>
      </c>
      <c r="I38" s="47" t="s">
        <v>37</v>
      </c>
      <c r="J38" s="48">
        <f>F16</f>
        <v>2</v>
      </c>
      <c r="K38" s="47" t="s">
        <v>35</v>
      </c>
      <c r="L38" s="45">
        <f>J38+H38</f>
        <v>15.425</v>
      </c>
      <c r="M38" s="2" t="s">
        <v>81</v>
      </c>
    </row>
    <row r="39" spans="9:13" ht="12.75">
      <c r="I39" s="47"/>
      <c r="J39" s="48"/>
      <c r="K39" s="47"/>
      <c r="L39" s="45" t="s">
        <v>52</v>
      </c>
      <c r="M39" s="45">
        <f>N9-F17</f>
        <v>16</v>
      </c>
    </row>
    <row r="40" spans="9:13" ht="12.75">
      <c r="I40" s="47"/>
      <c r="J40" s="48"/>
      <c r="K40" s="47"/>
      <c r="L40" s="45"/>
      <c r="M40" s="45"/>
    </row>
    <row r="41" spans="1:13" ht="12.75">
      <c r="A41" s="2" t="s">
        <v>82</v>
      </c>
      <c r="H41" s="45">
        <f>M39</f>
        <v>16</v>
      </c>
      <c r="I41" s="47" t="s">
        <v>37</v>
      </c>
      <c r="J41" s="48">
        <f>F17</f>
        <v>0</v>
      </c>
      <c r="K41" s="47" t="s">
        <v>35</v>
      </c>
      <c r="L41" s="45">
        <f>N9</f>
        <v>16</v>
      </c>
      <c r="M41" s="2" t="s">
        <v>89</v>
      </c>
    </row>
    <row r="42" spans="9:15" ht="12.75">
      <c r="I42" s="47"/>
      <c r="J42" s="48"/>
      <c r="K42" s="47"/>
      <c r="L42" s="2" t="s">
        <v>53</v>
      </c>
      <c r="M42" s="56">
        <f>N9</f>
        <v>16</v>
      </c>
      <c r="O42" s="2" t="s">
        <v>38</v>
      </c>
    </row>
    <row r="43" ht="12.75"/>
    <row r="44" spans="1:13" ht="12.75">
      <c r="A44" s="2" t="s">
        <v>54</v>
      </c>
      <c r="F44" s="56">
        <f>M42</f>
        <v>16</v>
      </c>
      <c r="G44" s="47" t="s">
        <v>48</v>
      </c>
      <c r="H44" s="48">
        <f>F18</f>
        <v>2</v>
      </c>
      <c r="I44" s="47" t="s">
        <v>35</v>
      </c>
      <c r="J44" s="2">
        <f>N11</f>
        <v>14</v>
      </c>
      <c r="M44" s="56"/>
    </row>
    <row r="45" ht="12.75">
      <c r="M45" s="56"/>
    </row>
    <row r="46" ht="12.75">
      <c r="A46" s="2" t="s">
        <v>39</v>
      </c>
    </row>
    <row r="47" spans="7:15" ht="12.75">
      <c r="G47" s="20"/>
      <c r="H47" s="59">
        <f>N11</f>
        <v>14</v>
      </c>
      <c r="I47" s="51" t="s">
        <v>40</v>
      </c>
      <c r="J47" s="51">
        <f>F11</f>
        <v>5</v>
      </c>
      <c r="K47" s="50" t="s">
        <v>41</v>
      </c>
      <c r="L47" s="60">
        <f>N13</f>
        <v>12</v>
      </c>
      <c r="M47" s="20" t="s">
        <v>42</v>
      </c>
      <c r="N47" s="20"/>
      <c r="O47" s="20"/>
    </row>
    <row r="48" ht="12.75"/>
    <row r="49" ht="12.75">
      <c r="A49" s="2" t="s">
        <v>68</v>
      </c>
    </row>
    <row r="50" ht="12.75"/>
    <row r="51" spans="3:13" ht="12.75">
      <c r="C51" s="15" t="s">
        <v>43</v>
      </c>
      <c r="D51" s="49">
        <f>F11</f>
        <v>5</v>
      </c>
      <c r="E51" s="2" t="s">
        <v>44</v>
      </c>
      <c r="H51" s="49">
        <f>F12</f>
        <v>9.6</v>
      </c>
      <c r="I51" s="2" t="s">
        <v>95</v>
      </c>
      <c r="L51" s="49">
        <f>H51*D51</f>
        <v>48</v>
      </c>
      <c r="M51" s="2" t="s">
        <v>45</v>
      </c>
    </row>
    <row r="52" ht="12.75"/>
    <row r="53" ht="12.75">
      <c r="G53" s="2" t="s">
        <v>67</v>
      </c>
    </row>
    <row r="54" spans="6:13" ht="12.75">
      <c r="F54" s="15" t="s">
        <v>49</v>
      </c>
      <c r="G54" s="60">
        <f>N13</f>
        <v>12</v>
      </c>
      <c r="H54" s="54" t="s">
        <v>40</v>
      </c>
      <c r="I54" s="51">
        <f>F12</f>
        <v>9.6</v>
      </c>
      <c r="J54" s="54" t="s">
        <v>40</v>
      </c>
      <c r="K54" s="51">
        <f>F13</f>
        <v>4.74</v>
      </c>
      <c r="L54" s="54" t="s">
        <v>35</v>
      </c>
      <c r="M54" s="55">
        <f>O19</f>
        <v>546.048</v>
      </c>
    </row>
    <row r="56" ht="12.75">
      <c r="A56" s="2" t="s">
        <v>90</v>
      </c>
    </row>
    <row r="57" spans="3:8" ht="12.75">
      <c r="C57" s="2" t="s">
        <v>50</v>
      </c>
      <c r="G57" s="2">
        <f>N25</f>
        <v>5784.639999999999</v>
      </c>
      <c r="H57" s="2" t="s">
        <v>47</v>
      </c>
    </row>
    <row r="58" spans="3:11" ht="12.75">
      <c r="C58" s="2" t="s">
        <v>65</v>
      </c>
      <c r="G58" s="2">
        <f>G57</f>
        <v>5784.639999999999</v>
      </c>
      <c r="H58" s="47" t="s">
        <v>40</v>
      </c>
      <c r="I58" s="2" t="s">
        <v>51</v>
      </c>
      <c r="K58" s="53">
        <f>G58*10/100</f>
        <v>578.4639999999999</v>
      </c>
    </row>
    <row r="60" spans="1:9" ht="12.75">
      <c r="A60" s="2" t="s">
        <v>63</v>
      </c>
      <c r="H60" s="45">
        <f>F18</f>
        <v>2</v>
      </c>
      <c r="I60" s="2" t="s">
        <v>31</v>
      </c>
    </row>
    <row r="61" spans="7:9" ht="12.75">
      <c r="G61" s="15" t="s">
        <v>55</v>
      </c>
      <c r="H61" s="56">
        <f>M42</f>
        <v>16</v>
      </c>
      <c r="I61" s="2" t="s">
        <v>56</v>
      </c>
    </row>
    <row r="62" ht="12.75">
      <c r="C62" s="2" t="s">
        <v>57</v>
      </c>
    </row>
    <row r="63" spans="6:11" ht="12.75">
      <c r="F63" s="56">
        <f>H61</f>
        <v>16</v>
      </c>
      <c r="G63" s="47" t="s">
        <v>40</v>
      </c>
      <c r="H63" s="2">
        <f>F11</f>
        <v>5</v>
      </c>
      <c r="I63" s="38" t="s">
        <v>58</v>
      </c>
      <c r="J63" s="2">
        <f>M13</f>
        <v>14</v>
      </c>
      <c r="K63" s="2" t="s">
        <v>89</v>
      </c>
    </row>
    <row r="65" ht="12.75">
      <c r="G65" s="2" t="s">
        <v>46</v>
      </c>
    </row>
    <row r="66" spans="6:13" ht="12.75">
      <c r="F66" s="15" t="s">
        <v>49</v>
      </c>
      <c r="G66" s="60">
        <f>J63</f>
        <v>14</v>
      </c>
      <c r="H66" s="54" t="s">
        <v>40</v>
      </c>
      <c r="I66" s="51">
        <f>F12</f>
        <v>9.6</v>
      </c>
      <c r="J66" s="54" t="s">
        <v>40</v>
      </c>
      <c r="K66" s="51">
        <f>F13</f>
        <v>4.74</v>
      </c>
      <c r="L66" s="54" t="s">
        <v>35</v>
      </c>
      <c r="M66" s="55">
        <f>M15</f>
        <v>637.056</v>
      </c>
    </row>
    <row r="68" spans="3:10" ht="12.75">
      <c r="C68" s="2" t="s">
        <v>59</v>
      </c>
      <c r="J68" s="70">
        <f>M66</f>
        <v>637.056</v>
      </c>
    </row>
    <row r="69" spans="3:11" ht="12.75">
      <c r="C69" s="2" t="s">
        <v>60</v>
      </c>
      <c r="E69" s="45">
        <f>H60</f>
        <v>2</v>
      </c>
      <c r="F69" s="2" t="s">
        <v>91</v>
      </c>
      <c r="K69" s="61"/>
    </row>
    <row r="70" spans="5:11" ht="12.75">
      <c r="E70" s="45"/>
      <c r="F70" s="2" t="s">
        <v>77</v>
      </c>
      <c r="K70" s="61"/>
    </row>
    <row r="71" spans="6:13" ht="12.75">
      <c r="F71" s="62">
        <f>J68</f>
        <v>637.056</v>
      </c>
      <c r="G71" s="63" t="s">
        <v>40</v>
      </c>
      <c r="H71" s="45">
        <f>+N18</f>
        <v>2</v>
      </c>
      <c r="I71" s="47" t="s">
        <v>61</v>
      </c>
      <c r="J71" s="56">
        <f>+N16</f>
        <v>13.333333333333334</v>
      </c>
      <c r="K71" s="47" t="s">
        <v>35</v>
      </c>
      <c r="L71" s="64">
        <f>F71*H71/J71</f>
        <v>95.5584</v>
      </c>
      <c r="M71" s="2" t="s">
        <v>47</v>
      </c>
    </row>
    <row r="73" spans="6:11" ht="12.75">
      <c r="F73" s="15" t="s">
        <v>62</v>
      </c>
      <c r="G73" s="65">
        <f>K58</f>
        <v>578.4639999999999</v>
      </c>
      <c r="H73" s="47" t="s">
        <v>48</v>
      </c>
      <c r="I73" s="45">
        <f>L71</f>
        <v>95.5584</v>
      </c>
      <c r="J73" s="47" t="s">
        <v>35</v>
      </c>
      <c r="K73" s="55">
        <f>N26</f>
        <v>482.90560000000005</v>
      </c>
    </row>
    <row r="75" ht="13.5" thickBot="1">
      <c r="B75" s="2" t="s">
        <v>84</v>
      </c>
    </row>
    <row r="76" spans="4:9" ht="13.5" thickBot="1">
      <c r="D76" s="96" t="s">
        <v>85</v>
      </c>
      <c r="H76" s="105">
        <f>+IF(M54&gt;K73,M54,K73)</f>
        <v>546.048</v>
      </c>
      <c r="I76" s="106"/>
    </row>
  </sheetData>
  <sheetProtection password="E85D" sheet="1"/>
  <mergeCells count="9">
    <mergeCell ref="F1:G1"/>
    <mergeCell ref="J1:M1"/>
    <mergeCell ref="H76:I76"/>
    <mergeCell ref="B3:J4"/>
    <mergeCell ref="A6:M6"/>
    <mergeCell ref="A23:M23"/>
    <mergeCell ref="A34:O34"/>
    <mergeCell ref="H19:M19"/>
    <mergeCell ref="L29:M29"/>
  </mergeCells>
  <printOptions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95" r:id="rId3"/>
  <headerFooter alignWithMargins="0">
    <oddFooter>&amp;CPropriété de Graine de Fées, reproduction interdite</oddFooter>
  </headerFooter>
  <rowBreaks count="1" manualBreakCount="1">
    <brk id="3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="95" zoomScaleNormal="95" zoomScalePageLayoutView="0" workbookViewId="0" topLeftCell="A40">
      <selection activeCell="K21" sqref="K21"/>
    </sheetView>
  </sheetViews>
  <sheetFormatPr defaultColWidth="9.140625" defaultRowHeight="12.75"/>
  <cols>
    <col min="1" max="1" width="16.140625" style="2" customWidth="1"/>
    <col min="2" max="7" width="9.7109375" style="2" customWidth="1"/>
    <col min="8" max="8" width="10.8515625" style="2" customWidth="1"/>
    <col min="9" max="13" width="9.8515625" style="2" customWidth="1"/>
    <col min="14" max="14" width="8.421875" style="2" hidden="1" customWidth="1"/>
    <col min="15" max="15" width="13.140625" style="2" customWidth="1"/>
    <col min="16" max="16" width="5.140625" style="2" customWidth="1"/>
    <col min="17" max="16384" width="9.140625" style="2" customWidth="1"/>
  </cols>
  <sheetData>
    <row r="1" spans="4:13" ht="12.75">
      <c r="D1" s="80"/>
      <c r="E1" s="81" t="s">
        <v>76</v>
      </c>
      <c r="F1" s="102"/>
      <c r="G1" s="102"/>
      <c r="H1" s="82"/>
      <c r="I1" s="79" t="s">
        <v>86</v>
      </c>
      <c r="J1" s="104"/>
      <c r="K1" s="104"/>
      <c r="L1" s="104"/>
      <c r="M1" s="104"/>
    </row>
    <row r="2" ht="12.75"/>
    <row r="3" spans="2:16" ht="15.75">
      <c r="B3" s="107" t="s">
        <v>69</v>
      </c>
      <c r="C3" s="107"/>
      <c r="D3" s="107"/>
      <c r="E3" s="107"/>
      <c r="F3" s="107"/>
      <c r="G3" s="107"/>
      <c r="H3" s="107"/>
      <c r="I3" s="107"/>
      <c r="J3" s="9"/>
      <c r="K3" s="9"/>
      <c r="L3" s="9"/>
      <c r="M3" s="9"/>
      <c r="N3" s="9"/>
      <c r="O3" s="9"/>
      <c r="P3" s="9"/>
    </row>
    <row r="4" spans="2:9" ht="12.75">
      <c r="B4" s="107"/>
      <c r="C4" s="107"/>
      <c r="D4" s="107"/>
      <c r="E4" s="107"/>
      <c r="F4" s="107"/>
      <c r="G4" s="107"/>
      <c r="H4" s="107"/>
      <c r="I4" s="107"/>
    </row>
    <row r="5" spans="2:9" ht="15.75">
      <c r="B5" s="14"/>
      <c r="C5" s="14"/>
      <c r="D5" s="14"/>
      <c r="E5" s="14"/>
      <c r="F5" s="14"/>
      <c r="G5" s="14"/>
      <c r="H5" s="14"/>
      <c r="I5" s="14"/>
    </row>
    <row r="6" spans="1:13" ht="30.75" customHeight="1">
      <c r="A6" s="108" t="s">
        <v>26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ht="12.75">
      <c r="A7" s="33" t="s">
        <v>0</v>
      </c>
      <c r="B7" s="34" t="s">
        <v>4</v>
      </c>
      <c r="C7" s="34" t="s">
        <v>5</v>
      </c>
      <c r="D7" s="34" t="s">
        <v>6</v>
      </c>
      <c r="E7" s="34" t="s">
        <v>7</v>
      </c>
      <c r="F7" s="34" t="s">
        <v>8</v>
      </c>
      <c r="G7" s="34" t="s">
        <v>9</v>
      </c>
      <c r="H7" s="34" t="s">
        <v>10</v>
      </c>
      <c r="I7" s="34" t="s">
        <v>11</v>
      </c>
      <c r="J7" s="34" t="s">
        <v>12</v>
      </c>
      <c r="K7" s="34" t="s">
        <v>13</v>
      </c>
      <c r="L7" s="34" t="s">
        <v>14</v>
      </c>
      <c r="M7" s="34" t="s">
        <v>15</v>
      </c>
    </row>
    <row r="8" spans="1:15" ht="25.5">
      <c r="A8" s="18" t="s">
        <v>3</v>
      </c>
      <c r="B8" s="7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30">
        <f>SUM(B8:M8)+F10</f>
        <v>0</v>
      </c>
      <c r="O8" s="25" t="str">
        <f>N8&amp;" sems"</f>
        <v>0 sems</v>
      </c>
    </row>
    <row r="9" spans="2:9" ht="15.75">
      <c r="B9" s="14"/>
      <c r="C9" s="14"/>
      <c r="D9" s="14"/>
      <c r="E9" s="14"/>
      <c r="F9" s="14"/>
      <c r="G9" s="14"/>
      <c r="H9" s="14"/>
      <c r="I9" s="14"/>
    </row>
    <row r="10" spans="2:9" ht="15.75">
      <c r="B10" s="14"/>
      <c r="C10" s="14"/>
      <c r="D10" s="14"/>
      <c r="E10" s="15" t="s">
        <v>70</v>
      </c>
      <c r="F10" s="7"/>
      <c r="G10" s="14"/>
      <c r="H10" s="14"/>
      <c r="I10" s="14"/>
    </row>
    <row r="11" spans="2:16" ht="15.75">
      <c r="B11" s="14"/>
      <c r="C11" s="14"/>
      <c r="D11" s="14"/>
      <c r="E11" s="15" t="s">
        <v>20</v>
      </c>
      <c r="F11" s="7"/>
      <c r="G11" s="14"/>
      <c r="H11" s="14"/>
      <c r="M11" s="29" t="s">
        <v>83</v>
      </c>
      <c r="N11" s="30">
        <f>IF(ROUNDUP(IF((N8/4*2.5)&gt;(F19*2.5),(F19*2.5+F16),((N8/4*2.5)+F16)),0)&lt;=30,ROUNDUP(IF((N8/4*2.5)&gt;(F19*2.5),(F19*2.5+F16+F17),((N8/4*2.5)+F16+F17)),0),30+F17)</f>
        <v>0</v>
      </c>
      <c r="O11" s="25" t="str">
        <f>N11&amp;" jrs"</f>
        <v>0 jrs</v>
      </c>
      <c r="P11" s="11"/>
    </row>
    <row r="12" spans="2:16" ht="15.75">
      <c r="B12" s="14"/>
      <c r="C12" s="14"/>
      <c r="D12" s="14"/>
      <c r="E12" s="15" t="s">
        <v>88</v>
      </c>
      <c r="F12" s="7"/>
      <c r="G12" s="14"/>
      <c r="H12" s="14"/>
      <c r="I12" s="14"/>
      <c r="M12" s="29" t="s">
        <v>25</v>
      </c>
      <c r="N12" s="30">
        <f>ROUNDUP(F11*N11/6,0)</f>
        <v>0</v>
      </c>
      <c r="O12" s="25" t="str">
        <f>N12&amp;" jrs"</f>
        <v>0 jrs</v>
      </c>
      <c r="P12" s="11"/>
    </row>
    <row r="13" spans="2:16" ht="15.75">
      <c r="B13" s="14"/>
      <c r="C13" s="14"/>
      <c r="D13" s="14"/>
      <c r="E13" s="15" t="s">
        <v>21</v>
      </c>
      <c r="F13" s="7"/>
      <c r="G13" s="14"/>
      <c r="H13" s="14"/>
      <c r="I13" s="14"/>
      <c r="M13" s="11"/>
      <c r="N13" s="30">
        <f>+N12*F12</f>
        <v>0</v>
      </c>
      <c r="O13" s="25" t="str">
        <f>N13&amp;" hrs"</f>
        <v>0 hrs</v>
      </c>
      <c r="P13" s="11"/>
    </row>
    <row r="14" spans="2:16" ht="15.75">
      <c r="B14" s="14"/>
      <c r="C14" s="14"/>
      <c r="D14" s="14"/>
      <c r="E14" s="16"/>
      <c r="F14" s="72"/>
      <c r="G14" s="14"/>
      <c r="H14" s="14"/>
      <c r="I14" s="14"/>
      <c r="M14" s="11"/>
      <c r="N14" s="30">
        <f>N13*F13</f>
        <v>0</v>
      </c>
      <c r="O14" s="26">
        <f>N14</f>
        <v>0</v>
      </c>
      <c r="P14" s="11"/>
    </row>
    <row r="15" spans="2:15" ht="15.75">
      <c r="B15" s="14"/>
      <c r="C15" s="14"/>
      <c r="D15" s="14"/>
      <c r="F15" s="14"/>
      <c r="G15" s="14"/>
      <c r="H15" s="14"/>
      <c r="I15" s="14"/>
      <c r="N15" s="68"/>
      <c r="O15" s="13"/>
    </row>
    <row r="16" spans="2:9" ht="15.75">
      <c r="B16" s="14"/>
      <c r="C16" s="14"/>
      <c r="D16" s="14"/>
      <c r="E16" s="8" t="s">
        <v>78</v>
      </c>
      <c r="F16" s="21"/>
      <c r="G16" s="14"/>
      <c r="H16" s="14"/>
      <c r="I16" s="14"/>
    </row>
    <row r="17" spans="2:9" ht="15.75">
      <c r="B17" s="14"/>
      <c r="C17" s="14"/>
      <c r="D17" s="14"/>
      <c r="E17" s="8" t="s">
        <v>79</v>
      </c>
      <c r="F17" s="21"/>
      <c r="G17" s="14"/>
      <c r="H17" s="14"/>
      <c r="I17" s="14"/>
    </row>
    <row r="18" spans="2:9" ht="16.5" thickBot="1">
      <c r="B18" s="14"/>
      <c r="C18" s="14"/>
      <c r="D18" s="14"/>
      <c r="F18" s="14"/>
      <c r="G18" s="14"/>
      <c r="H18" s="14"/>
      <c r="I18" s="14"/>
    </row>
    <row r="19" spans="2:15" ht="16.5" thickBot="1">
      <c r="B19" s="14"/>
      <c r="C19" s="14"/>
      <c r="D19" s="14"/>
      <c r="E19" s="8" t="s">
        <v>19</v>
      </c>
      <c r="F19" s="22"/>
      <c r="G19" s="14"/>
      <c r="H19" s="31"/>
      <c r="I19" s="32"/>
      <c r="J19" s="3"/>
      <c r="K19" s="3"/>
      <c r="L19" s="3"/>
      <c r="M19" s="17" t="s">
        <v>17</v>
      </c>
      <c r="O19" s="35">
        <f>O14</f>
        <v>0</v>
      </c>
    </row>
    <row r="20" spans="2:9" ht="14.25" customHeight="1">
      <c r="B20" s="14"/>
      <c r="C20" s="14"/>
      <c r="D20" s="14"/>
      <c r="E20" s="14"/>
      <c r="F20" s="14"/>
      <c r="G20" s="14"/>
      <c r="H20" s="14"/>
      <c r="I20" s="14"/>
    </row>
    <row r="21" ht="12.75"/>
    <row r="22" spans="1:13" ht="27.75" customHeight="1">
      <c r="A22" s="108" t="s">
        <v>29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</row>
    <row r="23" spans="1:15" ht="12.75">
      <c r="A23" s="18" t="s">
        <v>0</v>
      </c>
      <c r="B23" s="19" t="s">
        <v>4</v>
      </c>
      <c r="C23" s="19" t="s">
        <v>5</v>
      </c>
      <c r="D23" s="19" t="s">
        <v>6</v>
      </c>
      <c r="E23" s="19" t="s">
        <v>7</v>
      </c>
      <c r="F23" s="19" t="s">
        <v>8</v>
      </c>
      <c r="G23" s="19" t="s">
        <v>9</v>
      </c>
      <c r="H23" s="19" t="s">
        <v>10</v>
      </c>
      <c r="I23" s="19" t="s">
        <v>11</v>
      </c>
      <c r="J23" s="19" t="s">
        <v>12</v>
      </c>
      <c r="K23" s="19" t="s">
        <v>13</v>
      </c>
      <c r="L23" s="19" t="s">
        <v>14</v>
      </c>
      <c r="M23" s="19" t="s">
        <v>15</v>
      </c>
      <c r="N23" s="20"/>
      <c r="O23" s="20"/>
    </row>
    <row r="24" spans="1:15" ht="12.75">
      <c r="A24" s="1" t="s">
        <v>23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23">
        <f>SUM(B24:M24)</f>
        <v>0</v>
      </c>
      <c r="O24" s="27">
        <f>+N24</f>
        <v>0</v>
      </c>
    </row>
    <row r="25" spans="1:15" ht="12.75">
      <c r="A25" s="20"/>
      <c r="B25" s="98">
        <f aca="true" t="shared" si="0" ref="B25:M25">B24*10%</f>
        <v>0</v>
      </c>
      <c r="C25" s="98">
        <f t="shared" si="0"/>
        <v>0</v>
      </c>
      <c r="D25" s="98">
        <f t="shared" si="0"/>
        <v>0</v>
      </c>
      <c r="E25" s="98">
        <f t="shared" si="0"/>
        <v>0</v>
      </c>
      <c r="F25" s="98">
        <f t="shared" si="0"/>
        <v>0</v>
      </c>
      <c r="G25" s="98">
        <f t="shared" si="0"/>
        <v>0</v>
      </c>
      <c r="H25" s="98">
        <f t="shared" si="0"/>
        <v>0</v>
      </c>
      <c r="I25" s="98">
        <f t="shared" si="0"/>
        <v>0</v>
      </c>
      <c r="J25" s="98">
        <f t="shared" si="0"/>
        <v>0</v>
      </c>
      <c r="K25" s="98">
        <f t="shared" si="0"/>
        <v>0</v>
      </c>
      <c r="L25" s="98">
        <f t="shared" si="0"/>
        <v>0</v>
      </c>
      <c r="M25" s="98">
        <f t="shared" si="0"/>
        <v>0</v>
      </c>
      <c r="N25" s="23">
        <f>SUM(B25:M25)</f>
        <v>0</v>
      </c>
      <c r="O25" s="28">
        <f>+N25</f>
        <v>0</v>
      </c>
    </row>
    <row r="26" spans="1:15" ht="12.75">
      <c r="A26" s="23" t="s">
        <v>71</v>
      </c>
      <c r="B26" s="21"/>
      <c r="C26" s="21"/>
      <c r="D26" s="100"/>
      <c r="E26" s="21"/>
      <c r="F26" s="100"/>
      <c r="G26" s="21"/>
      <c r="H26" s="21"/>
      <c r="I26" s="21"/>
      <c r="J26" s="21"/>
      <c r="K26" s="21"/>
      <c r="L26" s="21"/>
      <c r="M26" s="21"/>
      <c r="O26" s="27">
        <f>SUM(B26:M26)</f>
        <v>0</v>
      </c>
    </row>
    <row r="27" spans="1:15" ht="12.75">
      <c r="A27" s="74"/>
      <c r="B27" s="26">
        <f>+B26*$B$29</f>
        <v>0</v>
      </c>
      <c r="C27" s="26">
        <f aca="true" t="shared" si="1" ref="C27:M27">+C26*$B$29</f>
        <v>0</v>
      </c>
      <c r="D27" s="99">
        <f t="shared" si="1"/>
        <v>0</v>
      </c>
      <c r="E27" s="26">
        <f t="shared" si="1"/>
        <v>0</v>
      </c>
      <c r="F27" s="99">
        <f t="shared" si="1"/>
        <v>0</v>
      </c>
      <c r="G27" s="26">
        <f t="shared" si="1"/>
        <v>0</v>
      </c>
      <c r="H27" s="26">
        <f t="shared" si="1"/>
        <v>0</v>
      </c>
      <c r="I27" s="26">
        <f t="shared" si="1"/>
        <v>0</v>
      </c>
      <c r="J27" s="26">
        <f t="shared" si="1"/>
        <v>0</v>
      </c>
      <c r="K27" s="26">
        <f t="shared" si="1"/>
        <v>0</v>
      </c>
      <c r="L27" s="26">
        <f t="shared" si="1"/>
        <v>0</v>
      </c>
      <c r="M27" s="26">
        <f t="shared" si="1"/>
        <v>0</v>
      </c>
      <c r="N27" s="30">
        <f>SUM(B27:M27)</f>
        <v>0</v>
      </c>
      <c r="O27" s="27">
        <f>+N27*0.1</f>
        <v>0</v>
      </c>
    </row>
    <row r="28" spans="1:6" ht="13.5" thickBot="1">
      <c r="A28" s="113" t="s">
        <v>72</v>
      </c>
      <c r="C28" s="4"/>
      <c r="D28" s="5"/>
      <c r="E28" s="8"/>
      <c r="F28" s="8"/>
    </row>
    <row r="29" spans="1:15" ht="23.25" customHeight="1" thickBot="1">
      <c r="A29" s="113"/>
      <c r="B29" s="77"/>
      <c r="C29" s="4"/>
      <c r="D29" s="5"/>
      <c r="E29" s="8"/>
      <c r="F29" s="8"/>
      <c r="L29" s="110" t="s">
        <v>18</v>
      </c>
      <c r="M29" s="112"/>
      <c r="O29" s="35">
        <f>+O25+O27</f>
        <v>0</v>
      </c>
    </row>
    <row r="30" ht="13.5" thickBot="1"/>
    <row r="31" spans="11:15" ht="16.5" thickBot="1">
      <c r="K31" s="75"/>
      <c r="L31" s="75"/>
      <c r="M31" s="76" t="s">
        <v>73</v>
      </c>
      <c r="O31" s="35" t="e">
        <f>IF(N25&gt;O14,N25/N11,O14/N11)</f>
        <v>#DIV/0!</v>
      </c>
    </row>
    <row r="32" ht="12.75"/>
    <row r="33" ht="12.75">
      <c r="A33" s="2" t="s">
        <v>28</v>
      </c>
    </row>
    <row r="34" ht="12.75"/>
    <row r="35" ht="12.75"/>
    <row r="36" spans="1:15" ht="12.75">
      <c r="A36" s="109" t="s">
        <v>30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ht="12.75"/>
    <row r="38" ht="12.75"/>
    <row r="39" spans="1:15" ht="12.75">
      <c r="A39" s="2" t="s">
        <v>36</v>
      </c>
      <c r="O39" s="2" t="str">
        <f>+O8</f>
        <v>0 sems</v>
      </c>
    </row>
    <row r="40" ht="12.75"/>
    <row r="41" ht="12.75">
      <c r="A41" s="2" t="s">
        <v>92</v>
      </c>
    </row>
    <row r="42" ht="12.75">
      <c r="B42" s="2" t="s">
        <v>93</v>
      </c>
    </row>
    <row r="43" spans="8:15" ht="12.75">
      <c r="H43" s="39"/>
      <c r="I43" s="95" t="str">
        <f>+O8</f>
        <v>0 sems</v>
      </c>
      <c r="J43" s="40" t="s">
        <v>33</v>
      </c>
      <c r="K43" s="43">
        <f>+N8/4</f>
        <v>0</v>
      </c>
      <c r="L43" s="91"/>
      <c r="M43" s="51"/>
      <c r="N43" s="50"/>
      <c r="O43" s="92"/>
    </row>
    <row r="44" spans="2:15" ht="12.75">
      <c r="B44" s="2" t="s">
        <v>64</v>
      </c>
      <c r="H44" s="41" t="s">
        <v>34</v>
      </c>
      <c r="I44" s="46">
        <f>+K43</f>
        <v>0</v>
      </c>
      <c r="J44" s="40" t="s">
        <v>35</v>
      </c>
      <c r="K44" s="43">
        <f>2.5*I44</f>
        <v>0</v>
      </c>
      <c r="L44" s="20"/>
      <c r="M44" s="51"/>
      <c r="N44" s="50"/>
      <c r="O44" s="92"/>
    </row>
    <row r="45" ht="12.75"/>
    <row r="46" ht="12.75">
      <c r="A46" s="2" t="s">
        <v>94</v>
      </c>
    </row>
    <row r="47" spans="8:16" ht="12.75">
      <c r="H47" s="39">
        <f>+F19</f>
        <v>0</v>
      </c>
      <c r="I47" s="40" t="s">
        <v>32</v>
      </c>
      <c r="J47" s="94">
        <f>+H47*2.5</f>
        <v>0</v>
      </c>
      <c r="K47" s="20"/>
      <c r="L47" s="93"/>
      <c r="M47" s="20"/>
      <c r="N47" s="20"/>
      <c r="O47" s="20"/>
      <c r="P47" s="52"/>
    </row>
    <row r="48" ht="12.75"/>
    <row r="49" spans="1:15" ht="12.75">
      <c r="A49" s="2" t="s">
        <v>80</v>
      </c>
      <c r="I49" s="85">
        <f>IF(J47&lt;K44,J47,K44)</f>
        <v>0</v>
      </c>
      <c r="J49" s="86" t="s">
        <v>37</v>
      </c>
      <c r="K49" s="87">
        <f>F16</f>
        <v>0</v>
      </c>
      <c r="L49" s="86" t="s">
        <v>35</v>
      </c>
      <c r="M49" s="88">
        <f>K49+I49</f>
        <v>0</v>
      </c>
      <c r="O49" s="2" t="s">
        <v>81</v>
      </c>
    </row>
    <row r="50" spans="10:15" ht="12.75">
      <c r="J50" s="47"/>
      <c r="K50" s="48"/>
      <c r="L50" s="47"/>
      <c r="M50" s="90" t="s">
        <v>52</v>
      </c>
      <c r="O50" s="45">
        <f>IF(M49&gt;30,30,M49)</f>
        <v>0</v>
      </c>
    </row>
    <row r="51" spans="10:14" ht="12.75">
      <c r="J51" s="47"/>
      <c r="K51" s="48"/>
      <c r="L51" s="47"/>
      <c r="M51" s="45"/>
      <c r="N51" s="45"/>
    </row>
    <row r="52" spans="1:15" ht="12.75">
      <c r="A52" s="2" t="s">
        <v>82</v>
      </c>
      <c r="I52" s="89">
        <f>O50</f>
        <v>0</v>
      </c>
      <c r="J52" s="86" t="s">
        <v>37</v>
      </c>
      <c r="K52" s="87">
        <f>F17</f>
        <v>0</v>
      </c>
      <c r="L52" s="86" t="s">
        <v>35</v>
      </c>
      <c r="M52" s="88">
        <f>K52+I52</f>
        <v>0</v>
      </c>
      <c r="O52" s="2" t="s">
        <v>89</v>
      </c>
    </row>
    <row r="53" spans="10:16" ht="12.75">
      <c r="J53" s="47"/>
      <c r="K53" s="48"/>
      <c r="L53" s="47"/>
      <c r="M53" s="15" t="s">
        <v>53</v>
      </c>
      <c r="O53" s="56">
        <f>N11</f>
        <v>0</v>
      </c>
      <c r="P53" s="2" t="s">
        <v>38</v>
      </c>
    </row>
    <row r="55" ht="12.75">
      <c r="A55" s="2" t="s">
        <v>39</v>
      </c>
    </row>
    <row r="56" spans="8:15" ht="12.75">
      <c r="H56" s="39">
        <f>N11</f>
        <v>0</v>
      </c>
      <c r="I56" s="46" t="s">
        <v>40</v>
      </c>
      <c r="J56" s="46">
        <f>F11</f>
        <v>0</v>
      </c>
      <c r="K56" s="40" t="s">
        <v>41</v>
      </c>
      <c r="L56" s="46">
        <f>N12</f>
        <v>0</v>
      </c>
      <c r="M56" s="42" t="s">
        <v>42</v>
      </c>
      <c r="N56" s="44"/>
      <c r="O56" s="44"/>
    </row>
    <row r="58" ht="12.75">
      <c r="A58" s="2" t="s">
        <v>68</v>
      </c>
    </row>
    <row r="60" spans="3:13" ht="12.75">
      <c r="C60" s="15" t="s">
        <v>43</v>
      </c>
      <c r="D60" s="49">
        <f>F11</f>
        <v>0</v>
      </c>
      <c r="E60" s="2" t="s">
        <v>44</v>
      </c>
      <c r="H60" s="49">
        <f>F12</f>
        <v>0</v>
      </c>
      <c r="I60" s="2" t="s">
        <v>95</v>
      </c>
      <c r="L60" s="49">
        <f>H60*D60</f>
        <v>0</v>
      </c>
      <c r="M60" s="2" t="s">
        <v>45</v>
      </c>
    </row>
    <row r="62" ht="12.75">
      <c r="G62" s="2" t="s">
        <v>67</v>
      </c>
    </row>
    <row r="63" spans="6:15" ht="12.75">
      <c r="F63" s="15" t="s">
        <v>49</v>
      </c>
      <c r="G63" s="51">
        <f>N12</f>
        <v>0</v>
      </c>
      <c r="H63" s="54" t="s">
        <v>40</v>
      </c>
      <c r="I63" s="51">
        <f>F12</f>
        <v>0</v>
      </c>
      <c r="J63" s="54" t="s">
        <v>40</v>
      </c>
      <c r="K63" s="51">
        <f>F13</f>
        <v>0</v>
      </c>
      <c r="L63" s="54" t="s">
        <v>35</v>
      </c>
      <c r="M63" s="115">
        <f>N14</f>
        <v>0</v>
      </c>
      <c r="N63" s="115"/>
      <c r="O63" s="115"/>
    </row>
    <row r="65" ht="12.75">
      <c r="A65" s="2" t="s">
        <v>90</v>
      </c>
    </row>
    <row r="66" spans="3:8" ht="12.75">
      <c r="C66" s="2" t="s">
        <v>50</v>
      </c>
      <c r="G66" s="2">
        <f>N24</f>
        <v>0</v>
      </c>
      <c r="H66" s="2" t="s">
        <v>47</v>
      </c>
    </row>
    <row r="67" spans="3:11" ht="12.75">
      <c r="C67" s="2" t="s">
        <v>65</v>
      </c>
      <c r="G67" s="2">
        <f>G66</f>
        <v>0</v>
      </c>
      <c r="H67" s="47" t="s">
        <v>40</v>
      </c>
      <c r="I67" s="2" t="s">
        <v>51</v>
      </c>
      <c r="K67" s="53">
        <f>O25</f>
        <v>0</v>
      </c>
    </row>
    <row r="68" spans="3:10" ht="12.75">
      <c r="C68" s="2" t="s">
        <v>74</v>
      </c>
      <c r="J68" s="53">
        <f>+O27</f>
        <v>0</v>
      </c>
    </row>
    <row r="69" spans="3:8" ht="12.75">
      <c r="C69" s="2" t="s">
        <v>75</v>
      </c>
      <c r="G69" s="114">
        <f>+O29</f>
        <v>0</v>
      </c>
      <c r="H69" s="114"/>
    </row>
    <row r="71" ht="13.5" thickBot="1">
      <c r="A71" s="2" t="s">
        <v>84</v>
      </c>
    </row>
    <row r="72" spans="3:9" ht="13.5" thickBot="1">
      <c r="C72" s="96" t="s">
        <v>85</v>
      </c>
      <c r="G72" s="105">
        <f>+IF(M63&gt;G69,M63,G69)</f>
        <v>0</v>
      </c>
      <c r="H72" s="106"/>
      <c r="I72" s="101"/>
    </row>
  </sheetData>
  <sheetProtection password="E85D" sheet="1"/>
  <mergeCells count="11">
    <mergeCell ref="A22:M22"/>
    <mergeCell ref="A36:O36"/>
    <mergeCell ref="A28:A29"/>
    <mergeCell ref="F1:G1"/>
    <mergeCell ref="J1:M1"/>
    <mergeCell ref="L29:M29"/>
    <mergeCell ref="G72:H72"/>
    <mergeCell ref="G69:H69"/>
    <mergeCell ref="M63:O63"/>
    <mergeCell ref="B3:I4"/>
    <mergeCell ref="A6:M6"/>
  </mergeCells>
  <printOptions/>
  <pageMargins left="0.31496062992125984" right="0.2362204724409449" top="0.3937007874015748" bottom="0.3937007874015748" header="0.5118110236220472" footer="0.1968503937007874"/>
  <pageSetup fitToHeight="0" fitToWidth="1" horizontalDpi="600" verticalDpi="600" orientation="landscape" paperSize="9" scale="84" r:id="rId3"/>
  <headerFooter alignWithMargins="0">
    <oddFooter>&amp;CPropriété de Graine de Fées, reproduction interdite</oddFooter>
  </headerFooter>
  <rowBreaks count="1" manualBreakCount="1">
    <brk id="34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Fadila AISSAOUI</cp:lastModifiedBy>
  <cp:lastPrinted>2016-06-23T15:39:55Z</cp:lastPrinted>
  <dcterms:created xsi:type="dcterms:W3CDTF">2010-02-17T06:55:20Z</dcterms:created>
  <dcterms:modified xsi:type="dcterms:W3CDTF">2019-02-07T09:20:52Z</dcterms:modified>
  <cp:category/>
  <cp:version/>
  <cp:contentType/>
  <cp:contentStatus/>
</cp:coreProperties>
</file>